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80" yWindow="15" windowWidth="18615" windowHeight="119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'Sheet1'!$S$5:$AC$48</definedName>
  </definedNames>
  <calcPr fullCalcOnLoad="1"/>
</workbook>
</file>

<file path=xl/sharedStrings.xml><?xml version="1.0" encoding="utf-8"?>
<sst xmlns="http://schemas.openxmlformats.org/spreadsheetml/2006/main" count="107" uniqueCount="97">
  <si>
    <t>Latitude in Degrees:</t>
  </si>
  <si>
    <t>Horizontal Dimensions</t>
  </si>
  <si>
    <t>Bottom of baseplate to centerline of Dec. axis - Park 1</t>
  </si>
  <si>
    <t>Center of pier to centerline of Dec. axis - Park 1</t>
  </si>
  <si>
    <t>Bottom of baseplate to highest point on mount - Park 1</t>
  </si>
  <si>
    <t>(round to nearest whole degree or use decimal values - do not enter minutes and seconds)</t>
  </si>
  <si>
    <t>Face (mounting surface) of Dec. axis to center of telescope</t>
  </si>
  <si>
    <t>Bottom of baseplate to center of eyepiece - Zenith</t>
  </si>
  <si>
    <t>Bottom of baseplate to center of eyepiece - Park 2</t>
  </si>
  <si>
    <t>Highest eyepiece position - pointing @ horizon E or W</t>
  </si>
  <si>
    <t>Lowest eyepiece position - pointing @ zenith</t>
  </si>
  <si>
    <t>Dimension Calculator</t>
  </si>
  <si>
    <t xml:space="preserve"> (approx 1/2 focal length for refractors)</t>
  </si>
  <si>
    <t>G</t>
  </si>
  <si>
    <t>H</t>
  </si>
  <si>
    <t>B</t>
  </si>
  <si>
    <t>D</t>
  </si>
  <si>
    <t>Center of pier to end of counterweight shaft</t>
  </si>
  <si>
    <t>Bottom of baseplate to highest point on mount - Park 2 / 3</t>
  </si>
  <si>
    <t>Bottom of base to center of Dec. mounting surface - Park 2 / 3</t>
  </si>
  <si>
    <t>C</t>
  </si>
  <si>
    <t>A</t>
  </si>
  <si>
    <t>Center of pier to back of mount</t>
  </si>
  <si>
    <t>E</t>
  </si>
  <si>
    <t>Front of Mount to Back of Mount</t>
  </si>
  <si>
    <t>F</t>
  </si>
  <si>
    <t>End of Counterweight Shaft to Back of Mount</t>
  </si>
  <si>
    <t>J</t>
  </si>
  <si>
    <t>Bottom of Baseplate to End of Counterweight Shaft</t>
  </si>
  <si>
    <t>Center of pier to front of mount (CWS end of Dec. axis)</t>
  </si>
  <si>
    <t>Bottom of Baseplate to top of Polar Axis (for case design)</t>
  </si>
  <si>
    <t xml:space="preserve">Telescope balance point to center of eyepiece @ focus </t>
  </si>
  <si>
    <t>K</t>
  </si>
  <si>
    <t>L</t>
  </si>
  <si>
    <t>Mach1</t>
  </si>
  <si>
    <t>N / A</t>
  </si>
  <si>
    <t>Vertical Dimensions **</t>
  </si>
  <si>
    <t>Lowest eyepiece position - pointing @ horizon N or S - NEWTONIAN</t>
  </si>
  <si>
    <t>High eyepiece position - pointing @ zenith - NEWTONIAN</t>
  </si>
  <si>
    <t>High eyepiece position - pointing @ pole - NEWTONIAN</t>
  </si>
  <si>
    <t>*</t>
  </si>
  <si>
    <t>Bottom of OTA when pointing at Zenith - NEWTONIAN</t>
  </si>
  <si>
    <t>Newtonian balance point to rear end of OTA</t>
  </si>
  <si>
    <t>* These four dimensions are NOT valid for newtonians - see last 4 dimensions.</t>
  </si>
  <si>
    <t>Pier Height  (add 3/4" if using RPA - 900 &amp; 1200 only)</t>
  </si>
  <si>
    <t xml:space="preserve">    Baseplate = Top of pier or Tripod.  These</t>
  </si>
  <si>
    <t xml:space="preserve">    mounts do not have separate pier adapters.</t>
  </si>
  <si>
    <t>Dimensions that do not change with latitude</t>
  </si>
  <si>
    <t>M</t>
  </si>
  <si>
    <t>N</t>
  </si>
  <si>
    <t>O</t>
  </si>
  <si>
    <t>P</t>
  </si>
  <si>
    <t>Q</t>
  </si>
  <si>
    <t>Length of Dec Axis - Dec mounting surface to end of CW shaft adapter</t>
  </si>
  <si>
    <t>Center of RA axis to end of CW shaft adapter</t>
  </si>
  <si>
    <t>Center of RA axis to Dec mounting surface</t>
  </si>
  <si>
    <t>Standard CW shaft including safety stop</t>
  </si>
  <si>
    <t>Polar Fork Base width at widest point (includes azimuth adjusters)</t>
  </si>
  <si>
    <t>CL-pier - pivot</t>
  </si>
  <si>
    <t>Mount at 0 Latitude</t>
  </si>
  <si>
    <t>pivot - back of az adj</t>
  </si>
  <si>
    <t>2a</t>
  </si>
  <si>
    <t>2b</t>
  </si>
  <si>
    <t>2c</t>
  </si>
  <si>
    <t>pivot - back of push/pull</t>
  </si>
  <si>
    <t>pivot - back of rear plate</t>
  </si>
  <si>
    <t>pivot - CL-Dec</t>
  </si>
  <si>
    <t>CL-Dec - front of worm box</t>
  </si>
  <si>
    <t>CL-Dec - front of Dec hous.</t>
  </si>
  <si>
    <t>CL-RA - Top of Dec hub</t>
  </si>
  <si>
    <t>CL-RA - End of CW adap</t>
  </si>
  <si>
    <t>Top of pier - pivot</t>
  </si>
  <si>
    <t>pivot - CL-RA</t>
  </si>
  <si>
    <t>CL-RA - top of RA hous.</t>
  </si>
  <si>
    <t>pivot - back of RA hous.</t>
  </si>
  <si>
    <t>CW shaft - thread + stop</t>
  </si>
  <si>
    <t>Front to back of RA axis (for case design - 900, 1200, 1600 &amp; 3600)</t>
  </si>
  <si>
    <t>CL-pier - front of RA (4 case)</t>
  </si>
  <si>
    <t>CW adapter bevel along dec</t>
  </si>
  <si>
    <t>Safety Stop radius</t>
  </si>
  <si>
    <t>**  For the 1600, 3600 and Mach1, Bottom of</t>
  </si>
  <si>
    <t>pivot - top of rear plate</t>
  </si>
  <si>
    <t>pivot - top of push/pull</t>
  </si>
  <si>
    <t>P1 - CL-RA - edge of gearbox</t>
  </si>
  <si>
    <t>mount (polar fork) base width</t>
  </si>
  <si>
    <t>CL-Dec - edge of dec hub</t>
  </si>
  <si>
    <t>CL-Dec - edge of dec hub shldr</t>
  </si>
  <si>
    <t>CL-RA - edge of dec hub shldr</t>
  </si>
  <si>
    <t>CL-RA - top of Dec gearbox</t>
  </si>
  <si>
    <t>Front to back of RA for case</t>
  </si>
  <si>
    <t>Part of formula for A</t>
  </si>
  <si>
    <t>pivot - RA hub shldr</t>
  </si>
  <si>
    <t>CL-RA - top of RA gearbox</t>
  </si>
  <si>
    <t>Pi / 180</t>
  </si>
  <si>
    <t>cm</t>
  </si>
  <si>
    <t>Inches</t>
  </si>
  <si>
    <t>Please Note: The following worksheet is not a CAD based engineering document.  While we have tried to be accurate, the values given should be assumed to be +/- 1/4" or so.  You may find some values that when added together will yield 1/8" rounding errors.  Please ignore these, as they have no real significance.   ENTRIES MUST BE IN INCHES!   A converter from cm to inches is at the right.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</si>
</sst>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/16"/>
    <numFmt numFmtId="165" formatCode="#\ ?/8"/>
    <numFmt numFmtId="166" formatCode="0.000"/>
    <numFmt numFmtId="167" formatCode="0.0000"/>
    <numFmt numFmtId="168" formatCode="[$-409]dddd\,\ mmmm\ dd\,\ yyyy"/>
    <numFmt numFmtId="169" formatCode="[$-409]h:mm:ss\ AM/PM"/>
    <numFmt numFmtId="170" formatCode="0.0"/>
  </numFmts>
  <fonts count="4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30"/>
      <name val="Arial"/>
      <family val="2"/>
    </font>
    <font>
      <sz val="10"/>
      <color indexed="30"/>
      <name val="Arial"/>
      <family val="2"/>
    </font>
    <font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sz val="12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164" fontId="0" fillId="0" borderId="0" xfId="0" applyNumberFormat="1" applyAlignment="1" applyProtection="1">
      <alignment/>
      <protection hidden="1"/>
    </xf>
    <xf numFmtId="165" fontId="0" fillId="0" borderId="0" xfId="0" applyNumberFormat="1" applyFill="1" applyAlignment="1" applyProtection="1">
      <alignment/>
      <protection hidden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166" fontId="0" fillId="0" borderId="0" xfId="0" applyNumberFormat="1" applyAlignment="1" applyProtection="1">
      <alignment/>
      <protection hidden="1"/>
    </xf>
    <xf numFmtId="0" fontId="0" fillId="0" borderId="11" xfId="0" applyBorder="1" applyAlignment="1">
      <alignment/>
    </xf>
    <xf numFmtId="165" fontId="0" fillId="0" borderId="11" xfId="0" applyNumberFormat="1" applyFill="1" applyBorder="1" applyAlignment="1" applyProtection="1">
      <alignment/>
      <protection hidden="1"/>
    </xf>
    <xf numFmtId="165" fontId="0" fillId="0" borderId="11" xfId="0" applyNumberFormat="1" applyBorder="1" applyAlignment="1" applyProtection="1">
      <alignment/>
      <protection hidden="1"/>
    </xf>
    <xf numFmtId="165" fontId="0" fillId="34" borderId="11" xfId="0" applyNumberFormat="1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164" fontId="0" fillId="0" borderId="11" xfId="0" applyNumberFormat="1" applyBorder="1" applyAlignment="1" applyProtection="1">
      <alignment/>
      <protection hidden="1"/>
    </xf>
    <xf numFmtId="170" fontId="44" fillId="0" borderId="13" xfId="0" applyNumberFormat="1" applyFont="1" applyFill="1" applyBorder="1" applyAlignment="1" applyProtection="1">
      <alignment/>
      <protection hidden="1"/>
    </xf>
    <xf numFmtId="165" fontId="45" fillId="0" borderId="13" xfId="0" applyNumberFormat="1" applyFont="1" applyBorder="1" applyAlignment="1" applyProtection="1">
      <alignment/>
      <protection hidden="1"/>
    </xf>
    <xf numFmtId="0" fontId="45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35" borderId="10" xfId="0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0" fontId="46" fillId="0" borderId="1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45" fillId="0" borderId="13" xfId="0" applyFont="1" applyFill="1" applyBorder="1" applyAlignment="1" applyProtection="1">
      <alignment/>
      <protection/>
    </xf>
    <xf numFmtId="0" fontId="45" fillId="0" borderId="13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4" fontId="0" fillId="0" borderId="11" xfId="0" applyNumberFormat="1" applyBorder="1" applyAlignment="1" applyProtection="1">
      <alignment/>
      <protection/>
    </xf>
    <xf numFmtId="164" fontId="45" fillId="0" borderId="13" xfId="0" applyNumberFormat="1" applyFon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11" xfId="0" applyNumberFormat="1" applyBorder="1" applyAlignment="1" applyProtection="1">
      <alignment/>
      <protection/>
    </xf>
    <xf numFmtId="165" fontId="45" fillId="0" borderId="13" xfId="0" applyNumberFormat="1" applyFont="1" applyBorder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4</xdr:row>
      <xdr:rowOff>209550</xdr:rowOff>
    </xdr:from>
    <xdr:to>
      <xdr:col>32</xdr:col>
      <xdr:colOff>352425</xdr:colOff>
      <xdr:row>17</xdr:row>
      <xdr:rowOff>28575</xdr:rowOff>
    </xdr:to>
    <xdr:pic>
      <xdr:nvPicPr>
        <xdr:cNvPr id="1" name="Picture 7" descr="dim-calc1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1704975"/>
          <a:ext cx="27336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17</xdr:row>
      <xdr:rowOff>190500</xdr:rowOff>
    </xdr:from>
    <xdr:to>
      <xdr:col>32</xdr:col>
      <xdr:colOff>361950</xdr:colOff>
      <xdr:row>27</xdr:row>
      <xdr:rowOff>104775</xdr:rowOff>
    </xdr:to>
    <xdr:pic>
      <xdr:nvPicPr>
        <xdr:cNvPr id="2" name="Picture 8" descr="dim-calc2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9850" y="3905250"/>
          <a:ext cx="27241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13</xdr:col>
      <xdr:colOff>390525</xdr:colOff>
      <xdr:row>78</xdr:row>
      <xdr:rowOff>38100</xdr:rowOff>
    </xdr:to>
    <xdr:pic>
      <xdr:nvPicPr>
        <xdr:cNvPr id="3" name="Picture 9" descr="dim-calc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363200"/>
          <a:ext cx="11153775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4.140625" style="3" customWidth="1"/>
    <col min="2" max="2" width="61.00390625" style="0" customWidth="1"/>
    <col min="3" max="3" width="11.7109375" style="0" customWidth="1"/>
    <col min="4" max="4" width="5.7109375" style="0" customWidth="1"/>
    <col min="5" max="5" width="11.7109375" style="0" customWidth="1"/>
    <col min="6" max="6" width="5.7109375" style="0" customWidth="1"/>
    <col min="7" max="7" width="11.7109375" style="0" customWidth="1"/>
    <col min="8" max="8" width="5.7109375" style="0" customWidth="1"/>
    <col min="9" max="9" width="11.7109375" style="0" customWidth="1"/>
    <col min="10" max="10" width="5.7109375" style="0" customWidth="1"/>
    <col min="11" max="11" width="11.7109375" style="0" customWidth="1"/>
    <col min="12" max="12" width="5.7109375" style="0" customWidth="1"/>
    <col min="13" max="14" width="9.140625" style="0" customWidth="1"/>
    <col min="15" max="16" width="9.140625" style="0" hidden="1" customWidth="1"/>
    <col min="17" max="17" width="6.00390625" style="0" hidden="1" customWidth="1"/>
    <col min="18" max="18" width="3.7109375" style="0" hidden="1" customWidth="1"/>
    <col min="19" max="19" width="3.28125" style="11" hidden="1" customWidth="1"/>
    <col min="20" max="20" width="26.00390625" style="0" hidden="1" customWidth="1"/>
    <col min="21" max="21" width="10.28125" style="0" hidden="1" customWidth="1"/>
    <col min="22" max="22" width="0.85546875" style="0" hidden="1" customWidth="1"/>
    <col min="23" max="23" width="10.28125" style="0" hidden="1" customWidth="1"/>
    <col min="24" max="24" width="0.85546875" style="0" hidden="1" customWidth="1"/>
    <col min="25" max="25" width="10.28125" style="0" hidden="1" customWidth="1"/>
    <col min="26" max="26" width="0.85546875" style="0" hidden="1" customWidth="1"/>
    <col min="27" max="27" width="10.28125" style="0" hidden="1" customWidth="1"/>
    <col min="28" max="28" width="0.85546875" style="0" hidden="1" customWidth="1"/>
    <col min="29" max="29" width="10.28125" style="0" hidden="1" customWidth="1"/>
    <col min="30" max="30" width="0" style="0" hidden="1" customWidth="1"/>
  </cols>
  <sheetData>
    <row r="1" ht="20.25">
      <c r="B1" s="1" t="s">
        <v>11</v>
      </c>
    </row>
    <row r="2" spans="2:14" s="1" customFormat="1" ht="78">
      <c r="B2" s="46" t="s">
        <v>96</v>
      </c>
      <c r="C2" s="47">
        <v>3600</v>
      </c>
      <c r="D2" s="48"/>
      <c r="E2" s="47">
        <v>1600</v>
      </c>
      <c r="F2" s="48"/>
      <c r="G2" s="47">
        <v>1200</v>
      </c>
      <c r="H2" s="48"/>
      <c r="I2" s="47">
        <v>900</v>
      </c>
      <c r="J2" s="48"/>
      <c r="K2" s="49" t="s">
        <v>34</v>
      </c>
      <c r="L2" s="50"/>
      <c r="M2" s="27" t="s">
        <v>94</v>
      </c>
      <c r="N2" s="27" t="s">
        <v>95</v>
      </c>
    </row>
    <row r="3" spans="3:12" ht="6" customHeight="1">
      <c r="C3" s="17"/>
      <c r="D3" s="22"/>
      <c r="F3" s="22"/>
      <c r="H3" s="22"/>
      <c r="J3" s="22"/>
      <c r="L3" s="22"/>
    </row>
    <row r="4" spans="1:14" ht="13.5" customHeight="1">
      <c r="A4" s="2">
        <v>1</v>
      </c>
      <c r="B4" s="3" t="s">
        <v>0</v>
      </c>
      <c r="C4" s="4"/>
      <c r="D4" s="51"/>
      <c r="E4" s="21"/>
      <c r="F4" s="52"/>
      <c r="G4" s="21"/>
      <c r="H4" s="52"/>
      <c r="I4" s="21"/>
      <c r="J4" s="22"/>
      <c r="K4" s="21"/>
      <c r="L4" s="22"/>
      <c r="M4" s="29"/>
      <c r="N4" s="28">
        <f>M4/2.54</f>
        <v>0</v>
      </c>
    </row>
    <row r="5" spans="1:29" s="34" customFormat="1" ht="25.5">
      <c r="A5" s="30"/>
      <c r="B5" s="31" t="s">
        <v>5</v>
      </c>
      <c r="C5" s="32"/>
      <c r="D5" s="33" t="s">
        <v>94</v>
      </c>
      <c r="F5" s="33" t="s">
        <v>94</v>
      </c>
      <c r="H5" s="33" t="s">
        <v>94</v>
      </c>
      <c r="J5" s="33" t="s">
        <v>94</v>
      </c>
      <c r="L5" s="33" t="s">
        <v>94</v>
      </c>
      <c r="S5" s="35"/>
      <c r="U5" s="36">
        <v>3600</v>
      </c>
      <c r="V5" s="36"/>
      <c r="W5" s="36">
        <v>1600</v>
      </c>
      <c r="X5" s="36"/>
      <c r="Y5" s="36">
        <v>1200</v>
      </c>
      <c r="Z5" s="36"/>
      <c r="AA5" s="36">
        <v>900</v>
      </c>
      <c r="AB5" s="36"/>
      <c r="AC5" s="36" t="s">
        <v>34</v>
      </c>
    </row>
    <row r="6" spans="1:19" s="34" customFormat="1" ht="6" customHeight="1">
      <c r="A6" s="30"/>
      <c r="C6" s="32"/>
      <c r="D6" s="37"/>
      <c r="F6" s="38"/>
      <c r="H6" s="38"/>
      <c r="J6" s="38"/>
      <c r="L6" s="38"/>
      <c r="S6" s="35"/>
    </row>
    <row r="7" spans="1:12" ht="13.5" customHeight="1">
      <c r="A7" s="2">
        <v>2</v>
      </c>
      <c r="B7" s="3" t="s">
        <v>6</v>
      </c>
      <c r="C7" s="4"/>
      <c r="D7" s="24">
        <f>C7*2.54</f>
        <v>0</v>
      </c>
      <c r="E7" s="21"/>
      <c r="F7" s="24">
        <f>E7*2.54</f>
        <v>0</v>
      </c>
      <c r="G7" s="21"/>
      <c r="H7" s="24">
        <f>G7*2.54</f>
        <v>0</v>
      </c>
      <c r="I7" s="21"/>
      <c r="J7" s="24">
        <f>I7*2.54</f>
        <v>0</v>
      </c>
      <c r="K7" s="21"/>
      <c r="L7" s="24">
        <f>K7*2.54</f>
        <v>0</v>
      </c>
    </row>
    <row r="8" spans="1:19" s="34" customFormat="1" ht="6" customHeight="1">
      <c r="A8" s="30"/>
      <c r="C8" s="32"/>
      <c r="D8" s="37"/>
      <c r="F8" s="38"/>
      <c r="H8" s="38"/>
      <c r="J8" s="38"/>
      <c r="L8" s="38"/>
      <c r="S8" s="35"/>
    </row>
    <row r="9" spans="1:12" ht="13.5" customHeight="1">
      <c r="A9" s="2">
        <v>3</v>
      </c>
      <c r="B9" s="3" t="s">
        <v>31</v>
      </c>
      <c r="C9" s="4"/>
      <c r="D9" s="24">
        <f>C9*2.54</f>
        <v>0</v>
      </c>
      <c r="E9" s="21"/>
      <c r="F9" s="24">
        <f>E9*2.54</f>
        <v>0</v>
      </c>
      <c r="G9" s="21"/>
      <c r="H9" s="24">
        <f>G9*2.54</f>
        <v>0</v>
      </c>
      <c r="I9" s="21"/>
      <c r="J9" s="24">
        <f>I9*2.54</f>
        <v>0</v>
      </c>
      <c r="K9" s="21"/>
      <c r="L9" s="24">
        <f>K9*2.54</f>
        <v>0</v>
      </c>
    </row>
    <row r="10" spans="1:19" s="34" customFormat="1" ht="12.75">
      <c r="A10" s="30"/>
      <c r="B10" s="34" t="s">
        <v>12</v>
      </c>
      <c r="C10" s="32"/>
      <c r="D10" s="37"/>
      <c r="F10" s="38"/>
      <c r="H10" s="38"/>
      <c r="J10" s="38"/>
      <c r="L10" s="38"/>
      <c r="S10" s="35"/>
    </row>
    <row r="11" spans="1:19" s="34" customFormat="1" ht="6" customHeight="1">
      <c r="A11" s="30"/>
      <c r="C11" s="32"/>
      <c r="D11" s="37"/>
      <c r="F11" s="38"/>
      <c r="H11" s="38"/>
      <c r="J11" s="38"/>
      <c r="L11" s="38"/>
      <c r="S11" s="35"/>
    </row>
    <row r="12" spans="1:20" ht="13.5" customHeight="1">
      <c r="A12" s="2">
        <v>4</v>
      </c>
      <c r="B12" s="3" t="s">
        <v>44</v>
      </c>
      <c r="C12" s="4"/>
      <c r="D12" s="24">
        <f>C12*2.54</f>
        <v>0</v>
      </c>
      <c r="E12" s="21"/>
      <c r="F12" s="24">
        <f>E12*2.54</f>
        <v>0</v>
      </c>
      <c r="G12" s="21"/>
      <c r="H12" s="24">
        <f>G12*2.54</f>
        <v>0</v>
      </c>
      <c r="I12" s="21"/>
      <c r="J12" s="24">
        <f>I12*2.54</f>
        <v>0</v>
      </c>
      <c r="K12" s="21"/>
      <c r="L12" s="24">
        <f>K12*2.54</f>
        <v>0</v>
      </c>
      <c r="T12" t="s">
        <v>59</v>
      </c>
    </row>
    <row r="13" spans="1:19" s="34" customFormat="1" ht="6" customHeight="1">
      <c r="A13" s="39"/>
      <c r="C13" s="40"/>
      <c r="D13" s="41"/>
      <c r="E13" s="42"/>
      <c r="F13" s="38"/>
      <c r="G13" s="42"/>
      <c r="H13" s="38"/>
      <c r="J13" s="38"/>
      <c r="L13" s="38"/>
      <c r="S13" s="35"/>
    </row>
    <row r="14" spans="1:19" s="34" customFormat="1" ht="18" customHeight="1">
      <c r="A14" s="39" t="s">
        <v>1</v>
      </c>
      <c r="C14" s="43"/>
      <c r="D14" s="44"/>
      <c r="E14" s="45"/>
      <c r="F14" s="44"/>
      <c r="G14" s="45"/>
      <c r="H14" s="44"/>
      <c r="I14" s="45"/>
      <c r="J14" s="38"/>
      <c r="L14" s="38"/>
      <c r="S14" s="35"/>
    </row>
    <row r="15" spans="1:29" ht="18" customHeight="1">
      <c r="A15" s="2" t="s">
        <v>21</v>
      </c>
      <c r="B15" t="s">
        <v>22</v>
      </c>
      <c r="C15" s="18">
        <v>10</v>
      </c>
      <c r="D15" s="24">
        <f>C15*2.54</f>
        <v>25.4</v>
      </c>
      <c r="E15" s="10">
        <f>IF(E$4&lt;=19,(W$15+W$17),IF(AND(E$4&gt;19,E$4&lt;=42.34),(W$15+(COS((90-E$4)*$P$32)*W$33)+(COS(E$4*$P$32)*W$19)),W$48))</f>
        <v>7.365</v>
      </c>
      <c r="F15" s="24">
        <f>E15*2.54</f>
        <v>18.7071</v>
      </c>
      <c r="G15" s="5">
        <f>IF(G4&gt;60,((COS(G$4*PI()/180)*(-1.125)+(COS((90-G$4)*PI()/180)*4.25)+5.125)),((COS(G$4*PI()/180)*(1.375)+(COS((90-G$4)*PI()/180)*2.875)+5.125)))</f>
        <v>6.5</v>
      </c>
      <c r="H15" s="24">
        <f aca="true" t="shared" si="0" ref="H15:H21">G15*2.54</f>
        <v>16.51</v>
      </c>
      <c r="I15" s="5">
        <f>(COS(I$4*PI()/180)*1)+(COS((90-I$4)*PI()/180)*3.625)+5</f>
        <v>6</v>
      </c>
      <c r="J15" s="24">
        <f aca="true" t="shared" si="1" ref="J15:J21">I15*2.54</f>
        <v>15.24</v>
      </c>
      <c r="K15" s="5">
        <f>(COS(K$4*PI()/180)*3.625)+(COS((90-K$4)*PI()/180)*4.5)+(COS(K$4*PI()/180)*1.5)+0.5</f>
        <v>5.625</v>
      </c>
      <c r="L15" s="24">
        <f aca="true" t="shared" si="2" ref="L15:L20">K15*2.54</f>
        <v>14.2875</v>
      </c>
      <c r="S15" s="11">
        <v>1</v>
      </c>
      <c r="T15" t="s">
        <v>58</v>
      </c>
      <c r="U15" s="12">
        <v>2.25</v>
      </c>
      <c r="V15" s="12"/>
      <c r="W15" s="12">
        <v>3.748</v>
      </c>
      <c r="X15" s="12"/>
      <c r="Y15" s="12">
        <v>5.375</v>
      </c>
      <c r="Z15" s="12"/>
      <c r="AA15" s="12">
        <v>5</v>
      </c>
      <c r="AB15" s="12"/>
      <c r="AC15" s="12">
        <v>0.5</v>
      </c>
    </row>
    <row r="16" spans="1:29" ht="18" customHeight="1">
      <c r="A16" s="2" t="s">
        <v>15</v>
      </c>
      <c r="B16" t="s">
        <v>3</v>
      </c>
      <c r="C16" s="19">
        <f>(COS(C$4*PI()/180)*13.25)-2.25</f>
        <v>11</v>
      </c>
      <c r="D16" s="24">
        <f aca="true" t="shared" si="3" ref="D16:D21">C16*2.54</f>
        <v>27.94</v>
      </c>
      <c r="E16" s="5">
        <f>(COS(E$4*$P$32)*W$20)-(COS((90-E$4)*$P$32)*W$27)-W$15</f>
        <v>10.854</v>
      </c>
      <c r="F16" s="24">
        <f aca="true" t="shared" si="4" ref="F16:F21">E16*2.54</f>
        <v>27.56916</v>
      </c>
      <c r="G16" s="5">
        <f>(COS(G$4*PI()/180)*12.375)-5.375</f>
        <v>7</v>
      </c>
      <c r="H16" s="24">
        <f t="shared" si="0"/>
        <v>17.78</v>
      </c>
      <c r="I16" s="5">
        <f>(COS(I$4*PI()/180)*10.375)-5</f>
        <v>5.375</v>
      </c>
      <c r="J16" s="24">
        <f t="shared" si="1"/>
        <v>13.6525</v>
      </c>
      <c r="K16" s="5">
        <f>(COS(K$4*PI()/180)*7.125)-(COS((90-K$4)*PI()/180)*3.625)-0.5</f>
        <v>6.625</v>
      </c>
      <c r="L16" s="24">
        <f t="shared" si="2"/>
        <v>16.8275</v>
      </c>
      <c r="S16" s="11">
        <v>2</v>
      </c>
      <c r="T16" t="s">
        <v>74</v>
      </c>
      <c r="U16" s="12"/>
      <c r="V16" s="12"/>
      <c r="W16" s="12"/>
      <c r="X16" s="12"/>
      <c r="Y16" s="12"/>
      <c r="Z16" s="12"/>
      <c r="AA16" s="12">
        <v>1</v>
      </c>
      <c r="AB16" s="12"/>
      <c r="AC16" s="12">
        <v>4.5</v>
      </c>
    </row>
    <row r="17" spans="1:29" ht="18" customHeight="1">
      <c r="A17" s="2" t="s">
        <v>20</v>
      </c>
      <c r="B17" t="s">
        <v>29</v>
      </c>
      <c r="C17" s="19">
        <f>(COS(C$4*PI()/180)*13.25)+(COS((90-C$4)*PI()/180)*8.125)+(COS(C$4*PI()/180)*4.5)-2.25</f>
        <v>15.5</v>
      </c>
      <c r="D17" s="24">
        <f t="shared" si="3"/>
        <v>39.37</v>
      </c>
      <c r="E17" s="5">
        <f>E$16+(COS(E$4*$P$32)*W$23)+(COS((90-E$4)*$P$32)*W$25)-(COS((90-E$4)*$P$32)*W$31)</f>
        <v>14.053999999999998</v>
      </c>
      <c r="F17" s="24">
        <f t="shared" si="4"/>
        <v>35.69716</v>
      </c>
      <c r="G17" s="5">
        <f>(COS(G$4*PI()/180)*12.375)+(COS((90-G$4)*PI()/180)*8.5)-5.375+(COS(G$4*PI()/180)*2.25)</f>
        <v>9.25</v>
      </c>
      <c r="H17" s="24">
        <f t="shared" si="0"/>
        <v>23.495</v>
      </c>
      <c r="I17" s="5">
        <f>(COS(I$4*PI()/180)*10.375)+(COS((90-I$4)*PI()/180)*7.1875)-5+(COS(I$4*PI()/180)*1.6875)</f>
        <v>7.0625</v>
      </c>
      <c r="J17" s="24">
        <f t="shared" si="1"/>
        <v>17.93875</v>
      </c>
      <c r="K17" s="5">
        <f>(COS((K$4)*PI()/180)*7.125)+(COS((K$4)*PI()/180)*1.7)-0.5</f>
        <v>8.325</v>
      </c>
      <c r="L17" s="24">
        <f t="shared" si="2"/>
        <v>21.1455</v>
      </c>
      <c r="S17" s="11" t="s">
        <v>61</v>
      </c>
      <c r="T17" t="s">
        <v>60</v>
      </c>
      <c r="U17" s="12">
        <v>7.75</v>
      </c>
      <c r="V17" s="12"/>
      <c r="W17" s="12">
        <v>3.617</v>
      </c>
      <c r="X17" s="12"/>
      <c r="Y17" s="12"/>
      <c r="Z17" s="12"/>
      <c r="AA17" s="12"/>
      <c r="AB17" s="12"/>
      <c r="AC17" s="12"/>
    </row>
    <row r="18" spans="1:29" ht="18" customHeight="1">
      <c r="A18" s="2" t="s">
        <v>16</v>
      </c>
      <c r="B18" t="s">
        <v>17</v>
      </c>
      <c r="C18" s="19">
        <f>(COS(C$4*PI()/180)*13.25)+(COS((90-C$4)*PI()/180)*39.125)-2.25+(COS(C$4*PI()/180)*2)</f>
        <v>13.000000000000002</v>
      </c>
      <c r="D18" s="24">
        <f t="shared" si="3"/>
        <v>33.02</v>
      </c>
      <c r="E18" s="5">
        <f>E$16+(COS((90-E$4)*$P$32)*W$25)+(COS((90-E$4)*$P$32)*W$29)+(COS((90-E$4)*$P$32)*W$32)</f>
        <v>10.854000000000001</v>
      </c>
      <c r="F18" s="24">
        <f t="shared" si="4"/>
        <v>27.569160000000004</v>
      </c>
      <c r="G18" s="5">
        <f>(COS(G$4*PI()/180)*12.375)+(COS((90-G$4)*PI()/180)*28.125)-5.375+(COS(G$4*PI()/180)*0.75)</f>
        <v>7.750000000000002</v>
      </c>
      <c r="H18" s="24">
        <f t="shared" si="0"/>
        <v>19.685000000000006</v>
      </c>
      <c r="I18" s="5">
        <f>(COS(I$4*PI()/180)*10.375)+(COS((90-I$4)*PI()/180)*21)-5+(COS(I$4*PI()/180)*0.75)</f>
        <v>6.125000000000002</v>
      </c>
      <c r="J18" s="24">
        <f t="shared" si="1"/>
        <v>15.557500000000005</v>
      </c>
      <c r="K18" s="5">
        <f>(COS((K$4)*PI()/180)*7.125)+(COS((90-K$4)*PI()/180)*15)-0.5</f>
        <v>6.625000000000001</v>
      </c>
      <c r="L18" s="24">
        <f t="shared" si="2"/>
        <v>16.827500000000004</v>
      </c>
      <c r="S18" s="11" t="s">
        <v>62</v>
      </c>
      <c r="T18" t="s">
        <v>64</v>
      </c>
      <c r="U18" s="12"/>
      <c r="V18" s="12"/>
      <c r="W18" s="12">
        <v>1.241</v>
      </c>
      <c r="X18" s="12"/>
      <c r="Y18" s="12"/>
      <c r="Z18" s="12"/>
      <c r="AA18" s="12"/>
      <c r="AB18" s="12"/>
      <c r="AC18" s="12"/>
    </row>
    <row r="19" spans="1:29" ht="18" customHeight="1">
      <c r="A19" s="2" t="s">
        <v>23</v>
      </c>
      <c r="B19" t="s">
        <v>24</v>
      </c>
      <c r="C19" s="19">
        <f>C17+C15</f>
        <v>25.5</v>
      </c>
      <c r="D19" s="24">
        <f t="shared" si="3"/>
        <v>64.77</v>
      </c>
      <c r="E19" s="5">
        <f>E17+E15</f>
        <v>21.418999999999997</v>
      </c>
      <c r="F19" s="24">
        <f t="shared" si="4"/>
        <v>54.404259999999994</v>
      </c>
      <c r="G19" s="5">
        <f>G17+G15</f>
        <v>15.75</v>
      </c>
      <c r="H19" s="24">
        <f t="shared" si="0"/>
        <v>40.005</v>
      </c>
      <c r="I19" s="5">
        <f>I17+I15</f>
        <v>13.0625</v>
      </c>
      <c r="J19" s="24">
        <f t="shared" si="1"/>
        <v>33.17875</v>
      </c>
      <c r="K19" s="5">
        <f>K17+K15+(COS(K$4*PI()/180)*1.5)</f>
        <v>15.45</v>
      </c>
      <c r="L19" s="24">
        <f t="shared" si="2"/>
        <v>39.243</v>
      </c>
      <c r="S19" s="11" t="s">
        <v>63</v>
      </c>
      <c r="T19" t="s">
        <v>65</v>
      </c>
      <c r="U19" s="12"/>
      <c r="V19" s="12"/>
      <c r="W19" s="12">
        <v>1.916</v>
      </c>
      <c r="X19" s="12"/>
      <c r="Y19" s="12"/>
      <c r="Z19" s="12"/>
      <c r="AA19" s="12"/>
      <c r="AB19" s="12"/>
      <c r="AC19" s="12"/>
    </row>
    <row r="20" spans="1:29" ht="18" customHeight="1">
      <c r="A20" s="2" t="s">
        <v>25</v>
      </c>
      <c r="B20" t="s">
        <v>26</v>
      </c>
      <c r="C20" s="19">
        <f>C15+C18</f>
        <v>23</v>
      </c>
      <c r="D20" s="24">
        <f t="shared" si="3"/>
        <v>58.42</v>
      </c>
      <c r="E20" s="5">
        <f>E15+E18</f>
        <v>18.219</v>
      </c>
      <c r="F20" s="24">
        <f t="shared" si="4"/>
        <v>46.27626</v>
      </c>
      <c r="G20" s="5">
        <f>G15+G18</f>
        <v>14.250000000000002</v>
      </c>
      <c r="H20" s="24">
        <f t="shared" si="0"/>
        <v>36.19500000000001</v>
      </c>
      <c r="I20" s="5">
        <f>I15+I18</f>
        <v>12.125000000000002</v>
      </c>
      <c r="J20" s="24">
        <f t="shared" si="1"/>
        <v>30.797500000000007</v>
      </c>
      <c r="K20" s="5">
        <f>K15+K18+(COS(K$4*PI()/180)*1.5)</f>
        <v>13.75</v>
      </c>
      <c r="L20" s="24">
        <f t="shared" si="2"/>
        <v>34.925</v>
      </c>
      <c r="S20" s="11">
        <v>3</v>
      </c>
      <c r="T20" t="s">
        <v>66</v>
      </c>
      <c r="U20" s="12">
        <v>13.25</v>
      </c>
      <c r="V20" s="12"/>
      <c r="W20" s="12">
        <v>14.602</v>
      </c>
      <c r="X20" s="12"/>
      <c r="Y20" s="12">
        <v>12.375</v>
      </c>
      <c r="Z20" s="12"/>
      <c r="AA20" s="12">
        <v>10.375</v>
      </c>
      <c r="AB20" s="12"/>
      <c r="AC20" s="12">
        <v>7.125</v>
      </c>
    </row>
    <row r="21" spans="1:29" ht="18" customHeight="1">
      <c r="A21" s="2"/>
      <c r="B21" t="s">
        <v>76</v>
      </c>
      <c r="C21" s="19">
        <f>C15+8.25</f>
        <v>18.25</v>
      </c>
      <c r="D21" s="24">
        <f t="shared" si="3"/>
        <v>46.355000000000004</v>
      </c>
      <c r="E21" s="5">
        <f>W$45</f>
        <v>14.45</v>
      </c>
      <c r="F21" s="24">
        <f t="shared" si="4"/>
        <v>36.702999999999996</v>
      </c>
      <c r="G21" s="5">
        <f>G15+5.25</f>
        <v>11.75</v>
      </c>
      <c r="H21" s="24">
        <f t="shared" si="0"/>
        <v>29.845</v>
      </c>
      <c r="I21" s="5">
        <f>I15+4.5</f>
        <v>10.5</v>
      </c>
      <c r="J21" s="24">
        <f t="shared" si="1"/>
        <v>26.67</v>
      </c>
      <c r="K21" s="6" t="s">
        <v>35</v>
      </c>
      <c r="L21" s="26"/>
      <c r="S21" s="11">
        <v>4</v>
      </c>
      <c r="T21" t="s">
        <v>67</v>
      </c>
      <c r="U21" s="12"/>
      <c r="V21" s="12"/>
      <c r="W21" s="12">
        <v>6.654</v>
      </c>
      <c r="X21" s="12"/>
      <c r="Y21" s="12"/>
      <c r="Z21" s="12"/>
      <c r="AA21" s="12"/>
      <c r="AB21" s="12"/>
      <c r="AC21" s="12"/>
    </row>
    <row r="22" spans="1:29" ht="6" customHeight="1">
      <c r="A22" s="2"/>
      <c r="C22" s="19"/>
      <c r="D22" s="25"/>
      <c r="E22" s="16"/>
      <c r="F22" s="25"/>
      <c r="G22" s="5"/>
      <c r="H22" s="25"/>
      <c r="I22" s="5"/>
      <c r="J22" s="26"/>
      <c r="L22" s="26"/>
      <c r="U22" s="12"/>
      <c r="V22" s="12"/>
      <c r="W22" s="12"/>
      <c r="X22" s="12"/>
      <c r="Y22" s="12"/>
      <c r="Z22" s="12"/>
      <c r="AA22" s="12"/>
      <c r="AB22" s="12"/>
      <c r="AC22" s="12"/>
    </row>
    <row r="23" spans="1:29" ht="18" customHeight="1">
      <c r="A23" s="3" t="s">
        <v>36</v>
      </c>
      <c r="C23" s="19"/>
      <c r="D23" s="25"/>
      <c r="E23" s="16"/>
      <c r="F23" s="25"/>
      <c r="G23" s="5"/>
      <c r="H23" s="25"/>
      <c r="I23" s="5"/>
      <c r="J23" s="26"/>
      <c r="L23" s="26"/>
      <c r="S23" s="11">
        <v>5</v>
      </c>
      <c r="T23" t="s">
        <v>68</v>
      </c>
      <c r="U23" s="12">
        <v>4.5</v>
      </c>
      <c r="V23" s="12"/>
      <c r="W23" s="12">
        <v>3.2</v>
      </c>
      <c r="X23" s="12"/>
      <c r="Y23" s="12">
        <v>2.25</v>
      </c>
      <c r="Z23" s="12"/>
      <c r="AA23" s="12">
        <v>1.6875</v>
      </c>
      <c r="AB23" s="12"/>
      <c r="AC23" s="12">
        <v>1.7</v>
      </c>
    </row>
    <row r="24" spans="1:29" ht="18" customHeight="1">
      <c r="A24" s="2" t="s">
        <v>13</v>
      </c>
      <c r="B24" t="s">
        <v>2</v>
      </c>
      <c r="C24" s="19">
        <f>(SIN(C$4*PI()/180)*13.25)+12.875</f>
        <v>12.875</v>
      </c>
      <c r="D24" s="24">
        <f aca="true" t="shared" si="5" ref="D24:D33">C24*2.54</f>
        <v>32.7025</v>
      </c>
      <c r="E24" s="5">
        <f>(SIN(E$4*$P$32)*W$20)+(SIN((90-E$4)*$P$32)*W$27)+W$26</f>
        <v>8.902000000000001</v>
      </c>
      <c r="F24" s="24">
        <f aca="true" t="shared" si="6" ref="F24:F33">E24*2.54</f>
        <v>22.61108</v>
      </c>
      <c r="G24" s="5">
        <f>(SIN(G$4*PI()/180)*12.375)+5.625</f>
        <v>5.625</v>
      </c>
      <c r="H24" s="24">
        <f aca="true" t="shared" si="7" ref="H24:H33">G24*2.54</f>
        <v>14.2875</v>
      </c>
      <c r="I24" s="5">
        <f>(SIN(I$4*PI()/180)*10.5)+4.75</f>
        <v>4.75</v>
      </c>
      <c r="J24" s="24">
        <f aca="true" t="shared" si="8" ref="J24:J33">I24*2.54</f>
        <v>12.065</v>
      </c>
      <c r="K24" s="5">
        <f>(SIN(K$4*PI()/180)*7.125)+(SIN((90-K$4)*PI()/180)*3.625)+3.625</f>
        <v>7.25</v>
      </c>
      <c r="L24" s="24">
        <f>K24*2.54</f>
        <v>18.415</v>
      </c>
      <c r="S24" s="11">
        <v>6</v>
      </c>
      <c r="T24" t="s">
        <v>69</v>
      </c>
      <c r="U24" s="12"/>
      <c r="V24" s="12"/>
      <c r="W24" s="12">
        <v>9.288</v>
      </c>
      <c r="X24" s="12"/>
      <c r="Y24" s="12"/>
      <c r="Z24" s="12"/>
      <c r="AA24" s="12"/>
      <c r="AB24" s="12"/>
      <c r="AC24" s="12"/>
    </row>
    <row r="25" spans="1:29" ht="18" customHeight="1">
      <c r="A25" s="2" t="s">
        <v>14</v>
      </c>
      <c r="B25" t="s">
        <v>18</v>
      </c>
      <c r="C25" s="19">
        <f>(SIN(C$4*PI()/180)*13.25)+(SIN((90-C$4)*PI()/180)*11.3125)+(SIN(C$4*PI()/180)*6.25)+12.875</f>
        <v>24.1875</v>
      </c>
      <c r="D25" s="24">
        <f t="shared" si="5"/>
        <v>61.43625</v>
      </c>
      <c r="E25" s="5">
        <f>IF(E$4&lt;30,(E$28+(SIN(E$4*$P$32)*W$39)),IF(E$4&gt;46.2,(E$24+(SIN((90-E$4)*$P$32)*W$43)+(SIN(E$4*$P$32)*W$21)),(E$24+(SIN((90-E$4)*$P$32)*W$40)+(SIN(E$4*$P$32)*W$41))))</f>
        <v>18.19</v>
      </c>
      <c r="F25" s="24">
        <f t="shared" si="6"/>
        <v>46.202600000000004</v>
      </c>
      <c r="G25" s="5">
        <f>(SIN(G$4*PI()/180)*12.375)+(SIN((90-G$4)*PI()/180)*7)+(SIN(G$4*PI()/180)*6.375)+5.625</f>
        <v>12.625</v>
      </c>
      <c r="H25" s="24">
        <f t="shared" si="7"/>
        <v>32.0675</v>
      </c>
      <c r="I25" s="5">
        <f>(SIN(I$4*PI()/180)*10.5)+(SIN((90-I$4)*PI()/180)*5.125)+(SIN(I$4*PI()/180)*5.625)+4.75</f>
        <v>9.875</v>
      </c>
      <c r="J25" s="24">
        <f t="shared" si="8"/>
        <v>25.0825</v>
      </c>
      <c r="K25" s="5">
        <f>(SIN(K$4*PI()/180)*7.125)+(SIN((90-K$4)*PI()/180)*3.625)+3.625+(SIN(K$4*PI()/180)*3.125)+(SIN((90-K$4)*PI()/180)*6.75)</f>
        <v>14</v>
      </c>
      <c r="L25" s="24">
        <f>K25*2.54</f>
        <v>35.56</v>
      </c>
      <c r="S25" s="11">
        <v>7</v>
      </c>
      <c r="T25" t="s">
        <v>70</v>
      </c>
      <c r="U25" s="12">
        <v>8.125</v>
      </c>
      <c r="V25" s="12"/>
      <c r="W25" s="12">
        <v>6.212</v>
      </c>
      <c r="X25" s="12"/>
      <c r="Y25" s="12">
        <v>8.5</v>
      </c>
      <c r="Z25" s="12"/>
      <c r="AA25" s="12">
        <v>7.1875</v>
      </c>
      <c r="AB25" s="12"/>
      <c r="AC25" s="12"/>
    </row>
    <row r="26" spans="1:29" ht="18" customHeight="1">
      <c r="A26" s="2" t="s">
        <v>27</v>
      </c>
      <c r="B26" t="s">
        <v>28</v>
      </c>
      <c r="C26" s="19">
        <f>5.625+(SIN(C$4*PI()/180)*13.25)-(SIN((90-C$4)*PI()/180)*39.125)-(SIN(C$4*PI()/180)*2)</f>
        <v>-33.5</v>
      </c>
      <c r="D26" s="24">
        <f t="shared" si="5"/>
        <v>-85.09</v>
      </c>
      <c r="E26" s="5">
        <f>E$24-(SIN((90-E$4)*$P$32)*(W$25+W$29))-(SIN(E$4*$P$32)*W$32)</f>
        <v>-16.435</v>
      </c>
      <c r="F26" s="24">
        <f t="shared" si="6"/>
        <v>-41.744899999999994</v>
      </c>
      <c r="G26" s="5">
        <f>5.625+(SIN(G$4*PI()/180)*12.375)-(SIN((90-G$4)*PI()/180)*28.125)-(SIN(G$4*PI()/180)*0.75)</f>
        <v>-22.5</v>
      </c>
      <c r="H26" s="24">
        <f t="shared" si="7"/>
        <v>-57.15</v>
      </c>
      <c r="I26" s="5">
        <f>4.75+(SIN(I$4*PI()/180)*10.5)-(SIN((90-I$4)*PI()/180)*21)-(SIN(I$4*PI()/180)*0.75)</f>
        <v>-16.25</v>
      </c>
      <c r="J26" s="24">
        <f t="shared" si="8"/>
        <v>-41.275</v>
      </c>
      <c r="K26" s="5">
        <f>K24-(SIN((90-K$4)*PI()/180)*18.625)</f>
        <v>-11.375</v>
      </c>
      <c r="L26" s="24">
        <f>K26*2.54</f>
        <v>-28.892500000000002</v>
      </c>
      <c r="S26" s="11">
        <v>8</v>
      </c>
      <c r="T26" t="s">
        <v>71</v>
      </c>
      <c r="U26" s="12">
        <v>12.875</v>
      </c>
      <c r="V26" s="12"/>
      <c r="W26" s="12">
        <v>5.804</v>
      </c>
      <c r="X26" s="12"/>
      <c r="Y26" s="12">
        <v>5.625</v>
      </c>
      <c r="Z26" s="12"/>
      <c r="AA26" s="12">
        <v>4.75</v>
      </c>
      <c r="AB26" s="12"/>
      <c r="AC26" s="12">
        <v>3.75</v>
      </c>
    </row>
    <row r="27" spans="1:29" ht="18" customHeight="1">
      <c r="A27" s="2" t="s">
        <v>32</v>
      </c>
      <c r="B27" t="s">
        <v>4</v>
      </c>
      <c r="C27" s="20">
        <f>(SIN(C$4*PI()/180)*13.25)+(SIN((C$4+25)*PI()/180)*6.5)+12.875</f>
        <v>15.622018701314547</v>
      </c>
      <c r="D27" s="24">
        <f t="shared" si="5"/>
        <v>39.67992750133895</v>
      </c>
      <c r="E27" s="10">
        <f>IF(E$4&gt;20.24,(E$24+(SIN(E$4*$P$32)*W$21)+(SIN((90-E$4)*$P$32)*W$36)),IF(AND(E$4&gt;12.77,E$4&lt;=20.24),(E$24+W$41),(W$26+(SIN(E$4*$P$32)*W$46)+(SIN((90-E$4)*$P$32)*(W$27+W$47)))))</f>
        <v>15.556</v>
      </c>
      <c r="F27" s="24">
        <f t="shared" si="6"/>
        <v>39.51224</v>
      </c>
      <c r="G27" s="5">
        <f>(SIN(G$4*PI()/180)*12.375)+(SIN((G$4+25)*PI()/180)*6.5)+5.625</f>
        <v>8.372018701314547</v>
      </c>
      <c r="H27" s="24">
        <f t="shared" si="7"/>
        <v>21.26492750133895</v>
      </c>
      <c r="I27" s="5">
        <f>(SIN(I$4*PI()/180)*10.5)+(SIN((I$4+22)*PI()/180)*6.5)+4.75</f>
        <v>7.184942857203428</v>
      </c>
      <c r="J27" s="24">
        <f t="shared" si="8"/>
        <v>18.249754857296708</v>
      </c>
      <c r="K27" s="5">
        <f>K24+(SIN((K$4+40)*PI()/180)*5)</f>
        <v>10.463938048432697</v>
      </c>
      <c r="L27" s="24">
        <f>K27*2.54</f>
        <v>26.57840264301905</v>
      </c>
      <c r="S27" s="11">
        <v>9</v>
      </c>
      <c r="T27" t="s">
        <v>72</v>
      </c>
      <c r="U27" s="12"/>
      <c r="V27" s="12"/>
      <c r="W27" s="12">
        <v>3.098</v>
      </c>
      <c r="X27" s="12"/>
      <c r="Y27" s="12"/>
      <c r="Z27" s="12"/>
      <c r="AA27" s="12"/>
      <c r="AB27" s="12"/>
      <c r="AC27" s="12">
        <v>3.625</v>
      </c>
    </row>
    <row r="28" spans="1:29" ht="18" customHeight="1">
      <c r="A28" s="2" t="s">
        <v>33</v>
      </c>
      <c r="B28" t="s">
        <v>19</v>
      </c>
      <c r="C28" s="19">
        <f>(SIN(C$4*PI()/180)*13.25)+(SIN((90-C$4)*PI()/180)*11.3125)+12.875</f>
        <v>24.1875</v>
      </c>
      <c r="D28" s="24">
        <f t="shared" si="5"/>
        <v>61.43625</v>
      </c>
      <c r="E28" s="5">
        <f>(SIN((90-E$4)*$P$32)*W$24)+E$24</f>
        <v>18.19</v>
      </c>
      <c r="F28" s="24">
        <f t="shared" si="6"/>
        <v>46.202600000000004</v>
      </c>
      <c r="G28" s="5">
        <f>(SIN(G$4*PI()/180)*12.375)+(SIN((90-G$4)*PI()/180)*8.5)+5.625</f>
        <v>14.125</v>
      </c>
      <c r="H28" s="24">
        <f t="shared" si="7"/>
        <v>35.8775</v>
      </c>
      <c r="I28" s="5">
        <f>(SIN(I$4*PI()/180)*10.5)+(SIN((90-I$4)*PI()/180)*7)+4.75</f>
        <v>11.75</v>
      </c>
      <c r="J28" s="24">
        <f t="shared" si="8"/>
        <v>29.845</v>
      </c>
      <c r="K28" s="5">
        <f>K24+(SIN((90-K$4)*PI()/180)*6.75)</f>
        <v>14</v>
      </c>
      <c r="L28" s="24">
        <f>K28*2.54</f>
        <v>35.56</v>
      </c>
      <c r="S28" s="11">
        <v>10</v>
      </c>
      <c r="T28" t="s">
        <v>73</v>
      </c>
      <c r="U28" s="12"/>
      <c r="V28" s="12"/>
      <c r="W28" s="12">
        <v>3.2</v>
      </c>
      <c r="X28" s="12"/>
      <c r="Y28" s="12"/>
      <c r="Z28" s="12"/>
      <c r="AA28" s="12">
        <v>3.625</v>
      </c>
      <c r="AB28" s="12"/>
      <c r="AC28" s="12">
        <v>1.5</v>
      </c>
    </row>
    <row r="29" spans="1:29" ht="18" customHeight="1">
      <c r="A29" s="2"/>
      <c r="B29" t="s">
        <v>30</v>
      </c>
      <c r="C29" s="19">
        <f>(SIN(C$4*PI()/180)*9.5)+(SIN((90-C$4)*PI()/180)*5.375)+5.625</f>
        <v>11</v>
      </c>
      <c r="D29" s="24">
        <f t="shared" si="5"/>
        <v>27.94</v>
      </c>
      <c r="E29" s="5">
        <f>W$26+W$27+W21</f>
        <v>15.556000000000001</v>
      </c>
      <c r="F29" s="24">
        <f t="shared" si="6"/>
        <v>39.512240000000006</v>
      </c>
      <c r="G29" s="5">
        <f>(SIN(G$4*PI()/180)*9.5)+(SIN((90-G$4)*PI()/180)*5.375)+5.625</f>
        <v>11</v>
      </c>
      <c r="H29" s="24">
        <f t="shared" si="7"/>
        <v>27.94</v>
      </c>
      <c r="I29" s="5">
        <f>(SIN(I$4*PI()/180)*8.25)+(SIN((90-I$4)*PI()/180)*3.75)+5</f>
        <v>8.75</v>
      </c>
      <c r="J29" s="24">
        <f t="shared" si="8"/>
        <v>22.225</v>
      </c>
      <c r="K29" s="6" t="s">
        <v>35</v>
      </c>
      <c r="L29" s="26"/>
      <c r="M29" s="3" t="s">
        <v>80</v>
      </c>
      <c r="S29" s="11">
        <v>11</v>
      </c>
      <c r="T29" t="s">
        <v>75</v>
      </c>
      <c r="U29" s="12"/>
      <c r="V29" s="12"/>
      <c r="W29" s="12">
        <v>19.125</v>
      </c>
      <c r="X29" s="12"/>
      <c r="Y29" s="12">
        <v>19.125</v>
      </c>
      <c r="Z29" s="12"/>
      <c r="AA29" s="12"/>
      <c r="AB29" s="12"/>
      <c r="AC29" s="12">
        <v>14.8125</v>
      </c>
    </row>
    <row r="30" spans="1:29" ht="18" customHeight="1">
      <c r="A30" s="2" t="s">
        <v>40</v>
      </c>
      <c r="B30" t="s">
        <v>7</v>
      </c>
      <c r="C30" s="19">
        <f>((SIN(C$4*PI()/180)*13.5)+12.75)-C9</f>
        <v>12.75</v>
      </c>
      <c r="D30" s="24">
        <f t="shared" si="5"/>
        <v>32.385</v>
      </c>
      <c r="E30" s="5">
        <f>E$24-E$9</f>
        <v>8.902000000000001</v>
      </c>
      <c r="F30" s="24">
        <f t="shared" si="6"/>
        <v>22.61108</v>
      </c>
      <c r="G30" s="5">
        <f>((SIN(G$4*PI()/180)*12.375)+5.625)-G9</f>
        <v>5.625</v>
      </c>
      <c r="H30" s="24">
        <f t="shared" si="7"/>
        <v>14.2875</v>
      </c>
      <c r="I30" s="5">
        <f>((SIN(I$4*PI()/180)*10.5)+4.75)-I9</f>
        <v>4.75</v>
      </c>
      <c r="J30" s="24">
        <f t="shared" si="8"/>
        <v>12.065</v>
      </c>
      <c r="K30" s="5">
        <f>K24-K9</f>
        <v>7.25</v>
      </c>
      <c r="L30" s="24">
        <f>K30*2.54</f>
        <v>18.415</v>
      </c>
      <c r="M30" s="3" t="s">
        <v>45</v>
      </c>
      <c r="S30" s="11">
        <v>12</v>
      </c>
      <c r="T30" t="s">
        <v>77</v>
      </c>
      <c r="U30" s="12"/>
      <c r="V30" s="12"/>
      <c r="W30" s="12"/>
      <c r="X30" s="12"/>
      <c r="Y30" s="12"/>
      <c r="Z30" s="12"/>
      <c r="AA30" s="12"/>
      <c r="AB30" s="12"/>
      <c r="AC30" s="12"/>
    </row>
    <row r="31" spans="1:29" ht="18" customHeight="1">
      <c r="A31" s="2" t="s">
        <v>40</v>
      </c>
      <c r="B31" t="s">
        <v>8</v>
      </c>
      <c r="C31" s="19">
        <f>((SIN(C$4*PI()/180)*13.25)+(SIN((90-C$4)*PI()/180)*(11.3125+C7))+12.875)</f>
        <v>24.1875</v>
      </c>
      <c r="D31" s="24">
        <f t="shared" si="5"/>
        <v>61.43625</v>
      </c>
      <c r="E31" s="5">
        <f>E$28+(SIN((90-E$4)*$P$32)*E$7)</f>
        <v>18.19</v>
      </c>
      <c r="F31" s="24">
        <f t="shared" si="6"/>
        <v>46.202600000000004</v>
      </c>
      <c r="G31" s="5">
        <f>((SIN(G$4*PI()/180)*12.375)+(SIN((90-G$4)*PI()/180)*(8.5+G7))+5.625)</f>
        <v>14.125</v>
      </c>
      <c r="H31" s="24">
        <f t="shared" si="7"/>
        <v>35.8775</v>
      </c>
      <c r="I31" s="5">
        <f>((SIN(I$4*PI()/180)*10.5)+(SIN((90-I$4)*PI()/180)*(7+I7))+4.75)</f>
        <v>11.75</v>
      </c>
      <c r="J31" s="24">
        <f t="shared" si="8"/>
        <v>29.845</v>
      </c>
      <c r="K31" s="5">
        <f>K24+(SIN((90-K$4)*PI()/180)*(6.75+K7))</f>
        <v>14</v>
      </c>
      <c r="L31" s="24">
        <f>K31*2.54</f>
        <v>35.56</v>
      </c>
      <c r="M31" s="3" t="s">
        <v>46</v>
      </c>
      <c r="S31" s="11">
        <v>13</v>
      </c>
      <c r="T31" s="13" t="s">
        <v>78</v>
      </c>
      <c r="U31" s="12"/>
      <c r="V31" s="12"/>
      <c r="W31" s="15">
        <f>IF($E$4&lt;60,0.75,0)</f>
        <v>0.75</v>
      </c>
      <c r="X31" s="15"/>
      <c r="Y31" s="12"/>
      <c r="Z31" s="12"/>
      <c r="AA31" s="12"/>
      <c r="AB31" s="12"/>
      <c r="AC31" s="12"/>
    </row>
    <row r="32" spans="1:29" ht="18" customHeight="1">
      <c r="A32" s="2" t="s">
        <v>40</v>
      </c>
      <c r="B32" t="s">
        <v>9</v>
      </c>
      <c r="C32" s="19">
        <f>C31+C12</f>
        <v>24.1875</v>
      </c>
      <c r="D32" s="24">
        <f t="shared" si="5"/>
        <v>61.43625</v>
      </c>
      <c r="E32" s="5">
        <f>E$31+E$12</f>
        <v>18.19</v>
      </c>
      <c r="F32" s="24">
        <f t="shared" si="6"/>
        <v>46.202600000000004</v>
      </c>
      <c r="G32" s="5">
        <f>((SIN(G$4*PI()/180)*12.375)+(SIN((90-G$4)*PI()/180)*(8.5+G7))+5.625)+G12</f>
        <v>14.125</v>
      </c>
      <c r="H32" s="24">
        <f t="shared" si="7"/>
        <v>35.8775</v>
      </c>
      <c r="I32" s="5">
        <f>((SIN(I$4*PI()/180)*10.5)+(SIN((90-I$4)*PI()/180)*(7+I7))+4.75)+I12</f>
        <v>11.75</v>
      </c>
      <c r="J32" s="24">
        <f t="shared" si="8"/>
        <v>29.845</v>
      </c>
      <c r="K32" s="5">
        <f>K31+K12</f>
        <v>14</v>
      </c>
      <c r="L32" s="24">
        <f>K32*2.54</f>
        <v>35.56</v>
      </c>
      <c r="M32" s="3"/>
      <c r="O32" t="s">
        <v>93</v>
      </c>
      <c r="P32">
        <f>PI()/180</f>
        <v>0.017453292519943295</v>
      </c>
      <c r="S32" s="11">
        <v>14</v>
      </c>
      <c r="T32" s="14" t="s">
        <v>79</v>
      </c>
      <c r="U32" s="12"/>
      <c r="V32" s="12"/>
      <c r="W32" s="15">
        <f>2.4375/2</f>
        <v>1.21875</v>
      </c>
      <c r="X32" s="15"/>
      <c r="Y32" s="12"/>
      <c r="Z32" s="12"/>
      <c r="AA32" s="12"/>
      <c r="AB32" s="12"/>
      <c r="AC32" s="12"/>
    </row>
    <row r="33" spans="1:29" ht="18" customHeight="1">
      <c r="A33" s="2" t="s">
        <v>40</v>
      </c>
      <c r="B33" t="s">
        <v>10</v>
      </c>
      <c r="C33" s="19">
        <f>C30+C12</f>
        <v>12.75</v>
      </c>
      <c r="D33" s="24">
        <f t="shared" si="5"/>
        <v>32.385</v>
      </c>
      <c r="E33" s="5">
        <f>E$30+E$12</f>
        <v>8.902000000000001</v>
      </c>
      <c r="F33" s="24">
        <f t="shared" si="6"/>
        <v>22.61108</v>
      </c>
      <c r="G33" s="5">
        <f>((SIN(G$4*PI()/180)*12.375)+5.625)+G12-G9</f>
        <v>5.625</v>
      </c>
      <c r="H33" s="24">
        <f t="shared" si="7"/>
        <v>14.2875</v>
      </c>
      <c r="I33" s="5">
        <f>((SIN(I$4*PI()/180)*10.5)+4.75)+I12-I9</f>
        <v>4.75</v>
      </c>
      <c r="J33" s="24">
        <f t="shared" si="8"/>
        <v>12.065</v>
      </c>
      <c r="K33" s="5">
        <f>K30+K12</f>
        <v>7.25</v>
      </c>
      <c r="L33" s="24">
        <f>K33*2.54</f>
        <v>18.415</v>
      </c>
      <c r="S33" s="11">
        <v>15</v>
      </c>
      <c r="T33" s="14" t="s">
        <v>81</v>
      </c>
      <c r="U33" s="12"/>
      <c r="V33" s="12"/>
      <c r="W33" s="12">
        <v>5.519</v>
      </c>
      <c r="X33" s="12"/>
      <c r="Y33" s="12"/>
      <c r="Z33" s="12"/>
      <c r="AA33" s="12"/>
      <c r="AB33" s="12"/>
      <c r="AC33" s="12"/>
    </row>
    <row r="34" spans="2:29" ht="12.75">
      <c r="B34" s="7" t="s">
        <v>43</v>
      </c>
      <c r="D34" s="26"/>
      <c r="F34" s="26"/>
      <c r="H34" s="26"/>
      <c r="J34" s="26"/>
      <c r="L34" s="26"/>
      <c r="S34" s="11">
        <v>16</v>
      </c>
      <c r="T34" s="14" t="s">
        <v>82</v>
      </c>
      <c r="U34" s="12"/>
      <c r="V34" s="12"/>
      <c r="W34" s="12">
        <v>6.298</v>
      </c>
      <c r="X34" s="12"/>
      <c r="Y34" s="12"/>
      <c r="Z34" s="12"/>
      <c r="AA34" s="12"/>
      <c r="AB34" s="12"/>
      <c r="AC34" s="12"/>
    </row>
    <row r="35" spans="1:29" ht="6" customHeight="1">
      <c r="A35" s="2"/>
      <c r="C35" s="19"/>
      <c r="D35" s="25"/>
      <c r="E35" s="5"/>
      <c r="F35" s="25"/>
      <c r="G35" s="5"/>
      <c r="H35" s="25"/>
      <c r="I35" s="5"/>
      <c r="J35" s="26"/>
      <c r="K35" s="5"/>
      <c r="L35" s="26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ht="18" customHeight="1">
      <c r="A36" s="2">
        <v>5</v>
      </c>
      <c r="B36" s="3" t="s">
        <v>42</v>
      </c>
      <c r="C36" s="4"/>
      <c r="D36" s="24">
        <f>C36*2.54</f>
        <v>0</v>
      </c>
      <c r="E36" s="21"/>
      <c r="F36" s="24">
        <f>E36*2.54</f>
        <v>0</v>
      </c>
      <c r="G36" s="21"/>
      <c r="H36" s="24">
        <f>G36*2.54</f>
        <v>0</v>
      </c>
      <c r="I36" s="21"/>
      <c r="J36" s="24">
        <f>I36*2.54</f>
        <v>0</v>
      </c>
      <c r="K36" s="21"/>
      <c r="L36" s="24">
        <f>K36*2.54</f>
        <v>0</v>
      </c>
      <c r="S36" s="11">
        <v>17</v>
      </c>
      <c r="T36" t="s">
        <v>83</v>
      </c>
      <c r="U36" s="12"/>
      <c r="V36" s="12"/>
      <c r="W36" s="12">
        <v>3.04</v>
      </c>
      <c r="X36" s="12"/>
      <c r="Y36" s="12"/>
      <c r="Z36" s="12"/>
      <c r="AA36" s="12"/>
      <c r="AB36" s="12"/>
      <c r="AC36" s="12"/>
    </row>
    <row r="37" spans="1:29" ht="6" customHeight="1">
      <c r="A37" s="2"/>
      <c r="B37" s="3"/>
      <c r="C37" s="17"/>
      <c r="D37" s="26"/>
      <c r="F37" s="26"/>
      <c r="H37" s="26"/>
      <c r="J37" s="26"/>
      <c r="L37" s="26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ht="18" customHeight="1">
      <c r="A38" s="2"/>
      <c r="B38" t="s">
        <v>37</v>
      </c>
      <c r="C38" s="19">
        <f>C24+C12</f>
        <v>12.875</v>
      </c>
      <c r="D38" s="24">
        <f>C38*2.54</f>
        <v>32.7025</v>
      </c>
      <c r="E38" s="5">
        <f>E24+E12</f>
        <v>8.902000000000001</v>
      </c>
      <c r="F38" s="24">
        <f>E38*2.54</f>
        <v>22.61108</v>
      </c>
      <c r="G38" s="5">
        <f>G24+G12</f>
        <v>5.625</v>
      </c>
      <c r="H38" s="24">
        <f>G38*2.54</f>
        <v>14.2875</v>
      </c>
      <c r="I38" s="5">
        <f>I24+I12</f>
        <v>4.75</v>
      </c>
      <c r="J38" s="24">
        <f>I38*2.54</f>
        <v>12.065</v>
      </c>
      <c r="K38" s="5">
        <f>K24+K12</f>
        <v>7.25</v>
      </c>
      <c r="L38" s="24">
        <f>K38*2.54</f>
        <v>18.415</v>
      </c>
      <c r="S38" s="11">
        <v>18</v>
      </c>
      <c r="T38" s="13" t="s">
        <v>84</v>
      </c>
      <c r="U38" s="12"/>
      <c r="V38" s="12"/>
      <c r="W38" s="12">
        <v>11.55</v>
      </c>
      <c r="X38" s="12"/>
      <c r="Y38" s="12"/>
      <c r="Z38" s="12"/>
      <c r="AA38" s="12"/>
      <c r="AB38" s="12"/>
      <c r="AC38" s="12"/>
    </row>
    <row r="39" spans="1:29" ht="18" customHeight="1">
      <c r="A39" s="2"/>
      <c r="B39" t="s">
        <v>38</v>
      </c>
      <c r="C39" s="19">
        <f>C24+C12+C9</f>
        <v>12.875</v>
      </c>
      <c r="D39" s="24">
        <f>C39*2.54</f>
        <v>32.7025</v>
      </c>
      <c r="E39" s="5">
        <f>E$24+E$12+E$9</f>
        <v>8.902000000000001</v>
      </c>
      <c r="F39" s="24">
        <f>E39*2.54</f>
        <v>22.61108</v>
      </c>
      <c r="G39" s="5">
        <f>G24+G12+G9</f>
        <v>5.625</v>
      </c>
      <c r="H39" s="24">
        <f>G39*2.54</f>
        <v>14.2875</v>
      </c>
      <c r="I39" s="5">
        <f>I24+I12+I9</f>
        <v>4.75</v>
      </c>
      <c r="J39" s="24">
        <f>I39*2.54</f>
        <v>12.065</v>
      </c>
      <c r="K39" s="5">
        <f>K24+K12+K9</f>
        <v>7.25</v>
      </c>
      <c r="L39" s="24">
        <f>K39*2.54</f>
        <v>18.415</v>
      </c>
      <c r="S39" s="11">
        <v>19</v>
      </c>
      <c r="T39" s="13" t="s">
        <v>85</v>
      </c>
      <c r="U39" s="12"/>
      <c r="V39" s="12"/>
      <c r="W39" s="12">
        <v>3.74</v>
      </c>
      <c r="X39" s="12"/>
      <c r="Y39" s="12"/>
      <c r="Z39" s="12"/>
      <c r="AA39" s="12"/>
      <c r="AB39" s="12"/>
      <c r="AC39" s="12"/>
    </row>
    <row r="40" spans="1:29" ht="18" customHeight="1">
      <c r="A40" s="2"/>
      <c r="B40" t="s">
        <v>39</v>
      </c>
      <c r="C40" s="19">
        <f>C28+(SIN((90-C$4)*PI()/180)*C7)+(SIN((C$4)*PI()/180)*C9)+C12</f>
        <v>24.1875</v>
      </c>
      <c r="D40" s="24">
        <f>C40*2.54</f>
        <v>61.43625</v>
      </c>
      <c r="E40" s="5">
        <f>E$28+(SIN((90-E$4)*$P$32)*E$7)+(SIN((E$4)*$P$32)*E$9)+E$12</f>
        <v>18.19</v>
      </c>
      <c r="F40" s="24">
        <f>E40*2.54</f>
        <v>46.202600000000004</v>
      </c>
      <c r="G40" s="5">
        <f>G28+(SIN((90-G$4)*PI()/180)*G7)+(SIN((G$4)*PI()/180)*G9)+G12</f>
        <v>14.125</v>
      </c>
      <c r="H40" s="24">
        <f>G40*2.54</f>
        <v>35.8775</v>
      </c>
      <c r="I40" s="5">
        <f>I28+(SIN((90-I$4)*PI()/180)*I7)+(SIN((I$4)*PI()/180)*I9)+I12</f>
        <v>11.75</v>
      </c>
      <c r="J40" s="24">
        <f>I40*2.54</f>
        <v>29.845</v>
      </c>
      <c r="K40" s="5">
        <f>K$28+(SIN((90-K$4)*$P$32)*K$7)+(SIN((K$4)*$P$32)*K$9)+K$12</f>
        <v>14</v>
      </c>
      <c r="L40" s="24">
        <f>K40*2.54</f>
        <v>35.56</v>
      </c>
      <c r="S40" s="11">
        <v>20</v>
      </c>
      <c r="T40" s="13" t="s">
        <v>87</v>
      </c>
      <c r="U40" s="12"/>
      <c r="V40" s="12"/>
      <c r="W40" s="12">
        <v>8.6</v>
      </c>
      <c r="X40" s="12"/>
      <c r="Y40" s="12"/>
      <c r="Z40" s="12"/>
      <c r="AA40" s="12"/>
      <c r="AB40" s="12"/>
      <c r="AC40" s="12"/>
    </row>
    <row r="41" spans="1:29" ht="18" customHeight="1">
      <c r="A41" s="2"/>
      <c r="B41" t="s">
        <v>41</v>
      </c>
      <c r="C41" s="19">
        <f>(C24+C12)-C36</f>
        <v>12.875</v>
      </c>
      <c r="D41" s="24">
        <f>C41*2.54</f>
        <v>32.7025</v>
      </c>
      <c r="E41" s="5">
        <f>(E24+E12)-E36</f>
        <v>8.902000000000001</v>
      </c>
      <c r="F41" s="24">
        <f>E41*2.54</f>
        <v>22.61108</v>
      </c>
      <c r="G41" s="5">
        <f>(G24+G12)-G36</f>
        <v>5.625</v>
      </c>
      <c r="H41" s="24">
        <f>G41*2.54</f>
        <v>14.2875</v>
      </c>
      <c r="I41" s="5">
        <f>(I24+I12)-I36</f>
        <v>4.75</v>
      </c>
      <c r="J41" s="24">
        <f>I41*2.54</f>
        <v>12.065</v>
      </c>
      <c r="K41" s="5">
        <f>(K24+K12)-K36</f>
        <v>7.25</v>
      </c>
      <c r="L41" s="24">
        <f>K41*2.54</f>
        <v>18.415</v>
      </c>
      <c r="S41" s="11">
        <v>21</v>
      </c>
      <c r="T41" s="13" t="s">
        <v>86</v>
      </c>
      <c r="U41" s="12"/>
      <c r="V41" s="12"/>
      <c r="W41" s="12">
        <v>4.95</v>
      </c>
      <c r="X41" s="12"/>
      <c r="Y41" s="12"/>
      <c r="Z41" s="12"/>
      <c r="AA41" s="12"/>
      <c r="AB41" s="12"/>
      <c r="AC41" s="12"/>
    </row>
    <row r="42" spans="1:29" ht="6" customHeight="1">
      <c r="A42" s="2"/>
      <c r="C42" s="19"/>
      <c r="D42" s="25"/>
      <c r="E42" s="16"/>
      <c r="F42" s="25"/>
      <c r="G42" s="5"/>
      <c r="H42" s="25"/>
      <c r="I42" s="5"/>
      <c r="J42" s="26"/>
      <c r="K42" s="5"/>
      <c r="L42" s="26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ht="18" customHeight="1">
      <c r="A43" s="8" t="s">
        <v>47</v>
      </c>
      <c r="C43" s="19"/>
      <c r="D43" s="25"/>
      <c r="E43" s="16"/>
      <c r="F43" s="25"/>
      <c r="G43" s="5"/>
      <c r="H43" s="25"/>
      <c r="I43" s="5"/>
      <c r="J43" s="26"/>
      <c r="K43" s="5"/>
      <c r="L43" s="26"/>
      <c r="S43" s="11">
        <v>22</v>
      </c>
      <c r="T43" s="13" t="s">
        <v>88</v>
      </c>
      <c r="U43" s="12"/>
      <c r="V43" s="12"/>
      <c r="W43" s="12">
        <v>6.78</v>
      </c>
      <c r="X43" s="12"/>
      <c r="Y43" s="12"/>
      <c r="Z43" s="12"/>
      <c r="AA43" s="12"/>
      <c r="AB43" s="12"/>
      <c r="AC43" s="12"/>
    </row>
    <row r="44" spans="1:29" ht="6" customHeight="1">
      <c r="A44" s="2"/>
      <c r="C44" s="19"/>
      <c r="D44" s="25"/>
      <c r="E44" s="16"/>
      <c r="F44" s="25"/>
      <c r="G44" s="5"/>
      <c r="H44" s="25"/>
      <c r="I44" s="5"/>
      <c r="J44" s="26"/>
      <c r="K44" s="5"/>
      <c r="L44" s="26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ht="18" customHeight="1">
      <c r="A45" s="2" t="s">
        <v>48</v>
      </c>
      <c r="B45" t="s">
        <v>53</v>
      </c>
      <c r="C45" s="23">
        <f>C46+C47</f>
        <v>19.4375</v>
      </c>
      <c r="D45" s="24">
        <f>C45*2.54</f>
        <v>49.37125</v>
      </c>
      <c r="E45" s="9">
        <f>E$46+E$47</f>
        <v>15.5</v>
      </c>
      <c r="F45" s="24">
        <f>E45*2.54</f>
        <v>39.37</v>
      </c>
      <c r="G45" s="9">
        <f>G46+G47</f>
        <v>17</v>
      </c>
      <c r="H45" s="24">
        <f>G45*2.54</f>
        <v>43.18</v>
      </c>
      <c r="I45" s="9">
        <f>I46+I47</f>
        <v>14.1875</v>
      </c>
      <c r="J45" s="24">
        <f>I45*2.54</f>
        <v>36.03625</v>
      </c>
      <c r="K45" s="9">
        <f>K46+K47</f>
        <v>10.375</v>
      </c>
      <c r="L45" s="24">
        <f>K45*2.54</f>
        <v>26.3525</v>
      </c>
      <c r="S45" s="11">
        <v>23</v>
      </c>
      <c r="T45" t="s">
        <v>89</v>
      </c>
      <c r="U45" s="12"/>
      <c r="V45" s="12"/>
      <c r="W45" s="12">
        <v>14.45</v>
      </c>
      <c r="X45" s="12"/>
      <c r="Y45" s="12"/>
      <c r="Z45" s="12"/>
      <c r="AA45" s="12"/>
      <c r="AB45" s="12"/>
      <c r="AC45" s="12"/>
    </row>
    <row r="46" spans="1:29" ht="18" customHeight="1">
      <c r="A46" s="2" t="s">
        <v>49</v>
      </c>
      <c r="B46" t="s">
        <v>54</v>
      </c>
      <c r="C46" s="23">
        <v>8.125</v>
      </c>
      <c r="D46" s="24">
        <f>C46*2.54</f>
        <v>20.6375</v>
      </c>
      <c r="E46" s="9">
        <f>W$25</f>
        <v>6.212</v>
      </c>
      <c r="F46" s="24">
        <f>E46*2.54</f>
        <v>15.77848</v>
      </c>
      <c r="G46" s="9">
        <v>8.5</v>
      </c>
      <c r="H46" s="24">
        <f>G46*2.54</f>
        <v>21.59</v>
      </c>
      <c r="I46" s="9">
        <v>7.1875</v>
      </c>
      <c r="J46" s="24">
        <f>I46*2.54</f>
        <v>18.25625</v>
      </c>
      <c r="K46" s="9">
        <v>3.625</v>
      </c>
      <c r="L46" s="24">
        <f>K46*2.54</f>
        <v>9.2075</v>
      </c>
      <c r="S46" s="11">
        <v>24</v>
      </c>
      <c r="T46" t="s">
        <v>91</v>
      </c>
      <c r="U46" s="12"/>
      <c r="V46" s="12"/>
      <c r="W46" s="12">
        <v>9.152</v>
      </c>
      <c r="X46" s="12"/>
      <c r="Y46" s="12"/>
      <c r="Z46" s="12"/>
      <c r="AA46" s="12"/>
      <c r="AB46" s="12"/>
      <c r="AC46" s="12"/>
    </row>
    <row r="47" spans="1:29" ht="18" customHeight="1">
      <c r="A47" s="2" t="s">
        <v>50</v>
      </c>
      <c r="B47" t="s">
        <v>55</v>
      </c>
      <c r="C47" s="23">
        <v>11.3125</v>
      </c>
      <c r="D47" s="24">
        <f>C47*2.54</f>
        <v>28.73375</v>
      </c>
      <c r="E47" s="9">
        <f>W$24</f>
        <v>9.288</v>
      </c>
      <c r="F47" s="24">
        <f>E47*2.54</f>
        <v>23.591520000000003</v>
      </c>
      <c r="G47" s="9">
        <v>8.5</v>
      </c>
      <c r="H47" s="24">
        <f>G47*2.54</f>
        <v>21.59</v>
      </c>
      <c r="I47" s="9">
        <v>7</v>
      </c>
      <c r="J47" s="24">
        <f>I47*2.54</f>
        <v>17.78</v>
      </c>
      <c r="K47" s="9">
        <v>6.75</v>
      </c>
      <c r="L47" s="24">
        <f>K47*2.54</f>
        <v>17.145</v>
      </c>
      <c r="S47" s="11">
        <v>25</v>
      </c>
      <c r="T47" t="s">
        <v>92</v>
      </c>
      <c r="U47" s="12"/>
      <c r="V47" s="12"/>
      <c r="W47" s="12">
        <v>6.654</v>
      </c>
      <c r="X47" s="12"/>
      <c r="Y47" s="12"/>
      <c r="Z47" s="12"/>
      <c r="AA47" s="12"/>
      <c r="AB47" s="12"/>
      <c r="AC47" s="12"/>
    </row>
    <row r="48" spans="1:29" ht="18" customHeight="1">
      <c r="A48" s="2" t="s">
        <v>51</v>
      </c>
      <c r="B48" t="s">
        <v>56</v>
      </c>
      <c r="C48" s="23">
        <v>31</v>
      </c>
      <c r="D48" s="24">
        <f>C48*2.54</f>
        <v>78.74</v>
      </c>
      <c r="E48" s="9">
        <f>W$29</f>
        <v>19.125</v>
      </c>
      <c r="F48" s="24">
        <f>E48*2.54</f>
        <v>48.5775</v>
      </c>
      <c r="G48" s="9">
        <f>Y$29</f>
        <v>19.125</v>
      </c>
      <c r="H48" s="24">
        <f>G48*2.54</f>
        <v>48.5775</v>
      </c>
      <c r="I48" s="9">
        <v>13.625</v>
      </c>
      <c r="J48" s="24">
        <f>I48*2.54</f>
        <v>34.6075</v>
      </c>
      <c r="K48" s="9">
        <v>14.625</v>
      </c>
      <c r="L48" s="24">
        <f>K48*2.54</f>
        <v>37.1475</v>
      </c>
      <c r="S48" s="11">
        <v>26</v>
      </c>
      <c r="T48" t="s">
        <v>90</v>
      </c>
      <c r="U48" s="12"/>
      <c r="V48" s="12"/>
      <c r="W48" s="12">
        <f>IF(AND(E$4&gt;42.34,E$4&lt;=64),(W$15+(COS((90-E$4)*$P$32)*W$34)+(COS(E$4*$P$32)*W18)),(W$15-(COS(E$4*$P$32)*(W$20-W$39))+(COS((90-E$4)*$P$32)*(W$24+W$27))))</f>
        <v>-7.113999999999999</v>
      </c>
      <c r="X48" s="12"/>
      <c r="Y48" s="12"/>
      <c r="Z48" s="12"/>
      <c r="AA48" s="12"/>
      <c r="AB48" s="12"/>
      <c r="AC48" s="12"/>
    </row>
    <row r="49" spans="1:12" ht="18" customHeight="1">
      <c r="A49" s="2" t="s">
        <v>52</v>
      </c>
      <c r="B49" t="s">
        <v>57</v>
      </c>
      <c r="C49" s="23">
        <v>16.5</v>
      </c>
      <c r="D49" s="24">
        <f>C49*2.54</f>
        <v>41.910000000000004</v>
      </c>
      <c r="E49" s="9">
        <f>W$38</f>
        <v>11.55</v>
      </c>
      <c r="F49" s="24">
        <f>E49*2.54</f>
        <v>29.337000000000003</v>
      </c>
      <c r="G49" s="9">
        <v>10.25</v>
      </c>
      <c r="H49" s="24">
        <f>G49*2.54</f>
        <v>26.035</v>
      </c>
      <c r="I49" s="9">
        <v>9</v>
      </c>
      <c r="J49" s="24">
        <f>I49*2.54</f>
        <v>22.86</v>
      </c>
      <c r="K49" s="9">
        <v>6</v>
      </c>
      <c r="L49" s="24">
        <f>K49*2.54</f>
        <v>15.24</v>
      </c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</sheetData>
  <sheetProtection password="9CEB" sheet="1" selectLockedCells="1"/>
  <mergeCells count="5">
    <mergeCell ref="C2:D2"/>
    <mergeCell ref="E2:F2"/>
    <mergeCell ref="G2:H2"/>
    <mergeCell ref="I2:J2"/>
    <mergeCell ref="K2:L2"/>
  </mergeCells>
  <printOptions/>
  <pageMargins left="0.5" right="0.5" top="0.75" bottom="0.75" header="0" footer="0"/>
  <pageSetup fitToHeight="1" fitToWidth="1" horizontalDpi="600" verticalDpi="600" orientation="portrait" r:id="rId2"/>
  <ignoredErrors>
    <ignoredError sqref="E2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Astro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</dc:creator>
  <cp:keywords/>
  <dc:description/>
  <cp:lastModifiedBy>Howard Hedlund</cp:lastModifiedBy>
  <cp:lastPrinted>2012-10-18T01:01:20Z</cp:lastPrinted>
  <dcterms:created xsi:type="dcterms:W3CDTF">2006-02-23T00:29:54Z</dcterms:created>
  <dcterms:modified xsi:type="dcterms:W3CDTF">2012-10-19T15:20:09Z</dcterms:modified>
  <cp:category/>
  <cp:version/>
  <cp:contentType/>
  <cp:contentStatus/>
</cp:coreProperties>
</file>